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filterPrivacy="1"/>
  <xr:revisionPtr revIDLastSave="0" documentId="13_ncr:1_{0A96CC05-1302-4F2A-8CEE-D54E49AA5875}" xr6:coauthVersionLast="43" xr6:coauthVersionMax="43" xr10:uidLastSave="{00000000-0000-0000-0000-000000000000}"/>
  <bookViews>
    <workbookView xWindow="-120" yWindow="-120" windowWidth="20730" windowHeight="11160" tabRatio="899" activeTab="5" xr2:uid="{00000000-000D-0000-FFFF-FFFF00000000}"/>
  </bookViews>
  <sheets>
    <sheet name="BUDGET 2020-2022 " sheetId="12" r:id="rId1"/>
    <sheet name="personnel emoluments" sheetId="6" r:id="rId2"/>
    <sheet name="recurrent exendition" sheetId="9" r:id="rId3"/>
    <sheet name="acquisition" sheetId="8" r:id="rId4"/>
    <sheet name="conferences and meetings" sheetId="10" r:id="rId5"/>
    <sheet name="programme and activities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9" l="1"/>
  <c r="C6" i="6" l="1"/>
  <c r="D6" i="6"/>
  <c r="E6" i="6"/>
  <c r="E7" i="9" l="1"/>
  <c r="D7" i="9"/>
  <c r="D8" i="9" s="1"/>
  <c r="C7" i="9"/>
  <c r="E8" i="9" l="1"/>
  <c r="E6" i="9" s="1"/>
  <c r="C8" i="9"/>
  <c r="C6" i="9" s="1"/>
  <c r="D6" i="9"/>
  <c r="E17" i="10"/>
  <c r="D8" i="10"/>
  <c r="E8" i="10" s="1"/>
  <c r="D9" i="10"/>
  <c r="E9" i="10" s="1"/>
  <c r="D13" i="10"/>
  <c r="E13" i="10" s="1"/>
  <c r="D17" i="10"/>
  <c r="C16" i="10"/>
  <c r="D16" i="10" s="1"/>
  <c r="E16" i="10" s="1"/>
  <c r="C15" i="10"/>
  <c r="D15" i="10" s="1"/>
  <c r="E15" i="10" s="1"/>
  <c r="C14" i="10"/>
  <c r="D14" i="10" s="1"/>
  <c r="E14" i="10" s="1"/>
  <c r="C11" i="10"/>
  <c r="D11" i="10" s="1"/>
  <c r="E11" i="10" s="1"/>
  <c r="C12" i="10"/>
  <c r="D12" i="10" s="1"/>
  <c r="C7" i="10"/>
  <c r="C6" i="10" s="1"/>
  <c r="E9" i="8"/>
  <c r="E6" i="8" s="1"/>
  <c r="E11" i="8" s="1"/>
  <c r="E7" i="12" s="1"/>
  <c r="D9" i="8"/>
  <c r="D6" i="8" s="1"/>
  <c r="D11" i="8" s="1"/>
  <c r="D7" i="12" s="1"/>
  <c r="C9" i="8"/>
  <c r="C6" i="8" s="1"/>
  <c r="C11" i="8" s="1"/>
  <c r="C7" i="12" s="1"/>
  <c r="E13" i="9"/>
  <c r="E15" i="9"/>
  <c r="D15" i="9"/>
  <c r="D13" i="9" s="1"/>
  <c r="C11" i="9"/>
  <c r="D11" i="9" s="1"/>
  <c r="D10" i="9" s="1"/>
  <c r="E15" i="6"/>
  <c r="D15" i="6"/>
  <c r="C15" i="6"/>
  <c r="C15" i="9"/>
  <c r="C13" i="9" s="1"/>
  <c r="E14" i="6"/>
  <c r="D14" i="6"/>
  <c r="E13" i="6"/>
  <c r="E12" i="6" s="1"/>
  <c r="E10" i="6"/>
  <c r="E9" i="6"/>
  <c r="E8" i="6"/>
  <c r="C14" i="6"/>
  <c r="C13" i="6"/>
  <c r="C12" i="6" s="1"/>
  <c r="C9" i="6"/>
  <c r="C8" i="6"/>
  <c r="D13" i="6"/>
  <c r="D12" i="6" s="1"/>
  <c r="D9" i="6"/>
  <c r="D8" i="6"/>
  <c r="C6" i="11"/>
  <c r="C13" i="11" s="1"/>
  <c r="C9" i="12" s="1"/>
  <c r="D6" i="11"/>
  <c r="D13" i="11" s="1"/>
  <c r="D9" i="12" s="1"/>
  <c r="E6" i="11"/>
  <c r="E13" i="11" s="1"/>
  <c r="E9" i="12" s="1"/>
  <c r="C7" i="6" l="1"/>
  <c r="C17" i="6" s="1"/>
  <c r="D19" i="9"/>
  <c r="D6" i="12" s="1"/>
  <c r="C10" i="10"/>
  <c r="C18" i="10" s="1"/>
  <c r="C8" i="12" s="1"/>
  <c r="D10" i="10"/>
  <c r="D7" i="10"/>
  <c r="E12" i="10"/>
  <c r="E10" i="10" s="1"/>
  <c r="C10" i="9"/>
  <c r="E11" i="9"/>
  <c r="E10" i="9" s="1"/>
  <c r="E19" i="9" s="1"/>
  <c r="D7" i="6"/>
  <c r="C5" i="12"/>
  <c r="E7" i="6"/>
  <c r="E17" i="6" s="1"/>
  <c r="D17" i="6" l="1"/>
  <c r="D5" i="12" s="1"/>
  <c r="D10" i="12" s="1"/>
  <c r="C19" i="9"/>
  <c r="C6" i="12" s="1"/>
  <c r="C10" i="12" s="1"/>
  <c r="D6" i="10"/>
  <c r="D18" i="10" s="1"/>
  <c r="D8" i="12" s="1"/>
  <c r="E7" i="10"/>
  <c r="E6" i="10" s="1"/>
  <c r="E18" i="10" s="1"/>
  <c r="E8" i="12" s="1"/>
  <c r="E6" i="12"/>
  <c r="E5" i="12"/>
  <c r="E10" i="12" l="1"/>
</calcChain>
</file>

<file path=xl/sharedStrings.xml><?xml version="1.0" encoding="utf-8"?>
<sst xmlns="http://schemas.openxmlformats.org/spreadsheetml/2006/main" count="159" uniqueCount="79">
  <si>
    <t>№</t>
  </si>
  <si>
    <t>Communication</t>
  </si>
  <si>
    <t>1.1</t>
  </si>
  <si>
    <t>1.2</t>
  </si>
  <si>
    <t>1.3</t>
  </si>
  <si>
    <t>1.4</t>
  </si>
  <si>
    <t>TOTAL</t>
  </si>
  <si>
    <t>Establishment of IOFS Grain Fund</t>
  </si>
  <si>
    <t xml:space="preserve">Food security database platform  of IOFS </t>
  </si>
  <si>
    <t xml:space="preserve">IOFS online commodity exchange </t>
  </si>
  <si>
    <t>TITLES</t>
  </si>
  <si>
    <t>ADOPTED BUDGET 2020</t>
  </si>
  <si>
    <t xml:space="preserve">Salaries </t>
  </si>
  <si>
    <t>Allowances</t>
  </si>
  <si>
    <t>Family</t>
  </si>
  <si>
    <t>Housing</t>
  </si>
  <si>
    <t>2</t>
  </si>
  <si>
    <t>Other Emolument</t>
  </si>
  <si>
    <t>Education grant</t>
  </si>
  <si>
    <t>Bonus and compensation</t>
  </si>
  <si>
    <t>2.1</t>
  </si>
  <si>
    <t>2.2</t>
  </si>
  <si>
    <t>2.3</t>
  </si>
  <si>
    <t>2.4</t>
  </si>
  <si>
    <t>2.5</t>
  </si>
  <si>
    <t>2.6</t>
  </si>
  <si>
    <t>Health  Care (Medical insurances)</t>
  </si>
  <si>
    <t>3</t>
  </si>
  <si>
    <t>PERSONNEL EMOLUMENTS</t>
  </si>
  <si>
    <t>4</t>
  </si>
  <si>
    <t>DRAFT BUDGET 2021</t>
  </si>
  <si>
    <t>DRAFT BUDGET 2022</t>
  </si>
  <si>
    <t>(in U.S. dollars)</t>
  </si>
  <si>
    <t>Transports and Travelling</t>
  </si>
  <si>
    <t>Internal business trip</t>
  </si>
  <si>
    <t>Business trips abroad</t>
  </si>
  <si>
    <t>Petrol for vehicles</t>
  </si>
  <si>
    <t>Maintenance and Repairs</t>
  </si>
  <si>
    <t>Vehicles</t>
  </si>
  <si>
    <t>Bank charges</t>
  </si>
  <si>
    <t>Incidental expenses</t>
  </si>
  <si>
    <t>Representations and Reception</t>
  </si>
  <si>
    <t>RECURRENT EXPENDITURES</t>
  </si>
  <si>
    <t>ACQUISITION OF FURNITURE AND EQUIPMENTS</t>
  </si>
  <si>
    <t>Fixture and installation</t>
  </si>
  <si>
    <t>CONFERENCES AND MEETINGS</t>
  </si>
  <si>
    <t xml:space="preserve">Conferences and institutional meetings </t>
  </si>
  <si>
    <t>Air tickets</t>
  </si>
  <si>
    <t>Perdiems</t>
  </si>
  <si>
    <t>Printings and transport documents</t>
  </si>
  <si>
    <t>Meetings of the Board</t>
  </si>
  <si>
    <t>Translation fees</t>
  </si>
  <si>
    <t>Local transport</t>
  </si>
  <si>
    <t>Hiring various equipment</t>
  </si>
  <si>
    <t>F.C.O. expenses</t>
  </si>
  <si>
    <t>PROGRAMME AND ACTIVITIES</t>
  </si>
  <si>
    <t>Feasibility studies/Documentation</t>
  </si>
  <si>
    <t>5</t>
  </si>
  <si>
    <t>6</t>
  </si>
  <si>
    <t>Cost  of living adjustment</t>
  </si>
  <si>
    <t>Furniture and equipment</t>
  </si>
  <si>
    <t>Office administration</t>
  </si>
  <si>
    <t>Printing and stationery</t>
  </si>
  <si>
    <t>Capital expenditures</t>
  </si>
  <si>
    <t>Publication of methodical, scientific and practical materials</t>
  </si>
  <si>
    <t>Accommodation and food</t>
  </si>
  <si>
    <t>Miscellaneous expenses</t>
  </si>
  <si>
    <t>Agriculture Investment  Fund of IOFS</t>
  </si>
  <si>
    <t>REGULAR BUDGET OF THE  ISLAMIC ORGANIZATION FOR FOOD SECURITY (IOFS)
FOR THE YEARS 2020-2022</t>
  </si>
  <si>
    <t>Regular budget of the IOFS for 2020-2022</t>
  </si>
  <si>
    <t>3.1</t>
  </si>
  <si>
    <t>3.2</t>
  </si>
  <si>
    <t>3.3</t>
  </si>
  <si>
    <t>Transport</t>
  </si>
  <si>
    <t>Other Services (Audit)</t>
  </si>
  <si>
    <t>3.4</t>
  </si>
  <si>
    <t>IOFS Center of transport and logistics</t>
  </si>
  <si>
    <t>IOFS Center of sciehce &amp;  technology</t>
  </si>
  <si>
    <t>TO BE ADOPTED BUDGET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</si>
</sst>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0" applyFont="1" applyBorder="1" applyAlignment="1">
      <alignment vertical="top" wrapText="1"/>
    </xf>
    <xf numFmtId="164" fontId="2" fillId="0" borderId="1" xfId="1" applyNumberFormat="1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 wrapText="1"/>
    </xf>
    <xf numFmtId="49" fontId="0" fillId="0" borderId="0" xfId="0" applyNumberFormat="1"/>
    <xf numFmtId="49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164" fontId="2" fillId="0" borderId="2" xfId="1" applyNumberFormat="1" applyFont="1" applyBorder="1" applyAlignment="1">
      <alignment wrapText="1"/>
    </xf>
    <xf numFmtId="0" fontId="2" fillId="0" borderId="0" xfId="0" applyFont="1"/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6" fillId="0" borderId="1" xfId="1" applyNumberFormat="1" applyFont="1" applyBorder="1" applyAlignment="1">
      <alignment wrapText="1"/>
    </xf>
    <xf numFmtId="0" fontId="6" fillId="0" borderId="0" xfId="0" applyFont="1"/>
    <xf numFmtId="164" fontId="7" fillId="0" borderId="1" xfId="1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8" fillId="0" borderId="1" xfId="1" applyNumberFormat="1" applyFont="1" applyBorder="1" applyAlignment="1">
      <alignment wrapText="1"/>
    </xf>
    <xf numFmtId="164" fontId="9" fillId="0" borderId="1" xfId="1" applyNumberFormat="1" applyFont="1" applyBorder="1" applyAlignment="1">
      <alignment wrapText="1"/>
    </xf>
    <xf numFmtId="164" fontId="1" fillId="0" borderId="1" xfId="1" applyNumberFormat="1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164" fontId="5" fillId="0" borderId="1" xfId="1" applyNumberFormat="1" applyFont="1" applyBorder="1" applyAlignment="1">
      <alignment wrapText="1"/>
    </xf>
    <xf numFmtId="0" fontId="5" fillId="0" borderId="0" xfId="0" applyFont="1"/>
    <xf numFmtId="164" fontId="1" fillId="0" borderId="2" xfId="1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164" fontId="2" fillId="0" borderId="1" xfId="1" applyNumberFormat="1" applyFont="1" applyBorder="1" applyAlignment="1">
      <alignment vertical="top" wrapText="1"/>
    </xf>
    <xf numFmtId="164" fontId="0" fillId="0" borderId="0" xfId="0" applyNumberFormat="1"/>
    <xf numFmtId="164" fontId="6" fillId="2" borderId="1" xfId="1" applyNumberFormat="1" applyFont="1" applyFill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49" fontId="6" fillId="0" borderId="0" xfId="0" applyNumberFormat="1" applyFont="1" applyAlignment="1">
      <alignment horizontal="right"/>
    </xf>
  </cellXfs>
  <cellStyles count="3">
    <cellStyle name="Обычный" xfId="0" builtinId="0"/>
    <cellStyle name="Финансовый" xfId="1" builtinId="3"/>
    <cellStyle name="Финансовый 2" xfId="2" xr:uid="{3A9DEEA6-740C-41F6-B0A9-C8D2850A33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81FA-8E7F-411A-BEBE-B439AA3BDBC8}">
  <dimension ref="A1:E11"/>
  <sheetViews>
    <sheetView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5" style="7" customWidth="1"/>
    <col min="2" max="2" width="38" customWidth="1"/>
    <col min="3" max="5" width="20.85546875" customWidth="1"/>
  </cols>
  <sheetData>
    <row r="1" spans="1:5" ht="24.75" customHeight="1" x14ac:dyDescent="0.25">
      <c r="A1" s="36" t="s">
        <v>68</v>
      </c>
      <c r="B1" s="35"/>
      <c r="C1" s="35"/>
      <c r="D1" s="35"/>
      <c r="E1" s="35"/>
    </row>
    <row r="2" spans="1:5" x14ac:dyDescent="0.25">
      <c r="A2" s="35"/>
      <c r="B2" s="35"/>
      <c r="C2" s="35"/>
      <c r="D2" s="35"/>
      <c r="E2" s="35"/>
    </row>
    <row r="3" spans="1:5" ht="15.75" thickBot="1" x14ac:dyDescent="0.3">
      <c r="A3" s="5"/>
      <c r="B3" s="35"/>
      <c r="C3" s="35"/>
      <c r="D3" s="35"/>
      <c r="E3" s="19" t="s">
        <v>32</v>
      </c>
    </row>
    <row r="4" spans="1:5" ht="31.5" customHeight="1" thickBot="1" x14ac:dyDescent="0.3">
      <c r="A4" s="6" t="s">
        <v>0</v>
      </c>
      <c r="B4" s="3" t="s">
        <v>10</v>
      </c>
      <c r="C4" s="3" t="s">
        <v>78</v>
      </c>
      <c r="D4" s="3" t="s">
        <v>30</v>
      </c>
      <c r="E4" s="4" t="s">
        <v>31</v>
      </c>
    </row>
    <row r="5" spans="1:5" s="11" customFormat="1" ht="16.5" customHeight="1" x14ac:dyDescent="0.25">
      <c r="A5" s="29">
        <v>1</v>
      </c>
      <c r="B5" s="30" t="s">
        <v>28</v>
      </c>
      <c r="C5" s="28">
        <f>'personnel emoluments'!C17</f>
        <v>1311960</v>
      </c>
      <c r="D5" s="28">
        <f>'personnel emoluments'!D17</f>
        <v>1597620</v>
      </c>
      <c r="E5" s="28">
        <f>'personnel emoluments'!E17</f>
        <v>1737880</v>
      </c>
    </row>
    <row r="6" spans="1:5" s="15" customFormat="1" ht="15.75" customHeight="1" x14ac:dyDescent="0.25">
      <c r="A6" s="20" t="s">
        <v>16</v>
      </c>
      <c r="B6" s="21" t="s">
        <v>42</v>
      </c>
      <c r="C6" s="24">
        <f>'recurrent exendition'!C19</f>
        <v>265920</v>
      </c>
      <c r="D6" s="28">
        <f>'recurrent exendition'!D19</f>
        <v>282405</v>
      </c>
      <c r="E6" s="28">
        <f>'recurrent exendition'!E19</f>
        <v>291015</v>
      </c>
    </row>
    <row r="7" spans="1:5" s="15" customFormat="1" ht="30.75" customHeight="1" x14ac:dyDescent="0.25">
      <c r="A7" s="29" t="s">
        <v>27</v>
      </c>
      <c r="B7" s="31" t="s">
        <v>43</v>
      </c>
      <c r="C7" s="22">
        <f>acquisition!C11</f>
        <v>105000</v>
      </c>
      <c r="D7" s="28">
        <f>acquisition!D11</f>
        <v>46500</v>
      </c>
      <c r="E7" s="28">
        <f>acquisition!E11</f>
        <v>46500</v>
      </c>
    </row>
    <row r="8" spans="1:5" s="15" customFormat="1" ht="15.75" customHeight="1" x14ac:dyDescent="0.25">
      <c r="A8" s="20" t="s">
        <v>29</v>
      </c>
      <c r="B8" s="31" t="s">
        <v>45</v>
      </c>
      <c r="C8" s="22">
        <f>'conferences and meetings'!C18</f>
        <v>300700</v>
      </c>
      <c r="D8" s="28">
        <f>'conferences and meetings'!D18</f>
        <v>360840</v>
      </c>
      <c r="E8" s="28">
        <f>'conferences and meetings'!E18</f>
        <v>433008</v>
      </c>
    </row>
    <row r="9" spans="1:5" s="15" customFormat="1" ht="15.75" customHeight="1" x14ac:dyDescent="0.25">
      <c r="A9" s="29" t="s">
        <v>57</v>
      </c>
      <c r="B9" s="21" t="s">
        <v>55</v>
      </c>
      <c r="C9" s="22">
        <f>'programme and activities'!C13</f>
        <v>1000000</v>
      </c>
      <c r="D9" s="28">
        <f>'programme and activities'!D13</f>
        <v>1000000</v>
      </c>
      <c r="E9" s="28">
        <f>'programme and activities'!E13</f>
        <v>1000000</v>
      </c>
    </row>
    <row r="10" spans="1:5" s="11" customFormat="1" ht="20.25" customHeight="1" x14ac:dyDescent="0.25">
      <c r="A10" s="20" t="s">
        <v>58</v>
      </c>
      <c r="B10" s="1" t="s">
        <v>6</v>
      </c>
      <c r="C10" s="2">
        <f>SUM(C5:C9)</f>
        <v>2983580</v>
      </c>
      <c r="D10" s="2">
        <f t="shared" ref="D10:E10" si="0">SUM(D5:D9)</f>
        <v>3287365</v>
      </c>
      <c r="E10" s="2">
        <f t="shared" si="0"/>
        <v>3508403</v>
      </c>
    </row>
    <row r="11" spans="1:5" x14ac:dyDescent="0.25">
      <c r="C11" s="33"/>
    </row>
  </sheetData>
  <mergeCells count="2">
    <mergeCell ref="B3:D3"/>
    <mergeCell ref="A1:E2"/>
  </mergeCells>
  <phoneticPr fontId="4" type="noConversion"/>
  <pageMargins left="0.7" right="0.7" top="0.75" bottom="0.75" header="0.3" footer="0.3"/>
  <pageSetup paperSize="9" scale="12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AACB-FF07-4908-9840-FEA2EA390EF6}">
  <dimension ref="A1:E17"/>
  <sheetViews>
    <sheetView view="pageBreakPreview" zoomScaleNormal="100" zoomScaleSheetLayoutView="100" workbookViewId="0">
      <selection sqref="A1:E17"/>
    </sheetView>
  </sheetViews>
  <sheetFormatPr defaultRowHeight="15" x14ac:dyDescent="0.25"/>
  <cols>
    <col min="1" max="1" width="5" style="7" customWidth="1"/>
    <col min="2" max="2" width="34.28515625" customWidth="1"/>
    <col min="3" max="5" width="23.140625" customWidth="1"/>
  </cols>
  <sheetData>
    <row r="1" spans="1:5" x14ac:dyDescent="0.25">
      <c r="A1" s="37" t="s">
        <v>69</v>
      </c>
      <c r="B1" s="37"/>
      <c r="C1" s="37"/>
      <c r="D1" s="37"/>
      <c r="E1" s="37"/>
    </row>
    <row r="3" spans="1:5" x14ac:dyDescent="0.25">
      <c r="A3" s="18"/>
      <c r="B3" s="35" t="s">
        <v>28</v>
      </c>
      <c r="C3" s="35"/>
      <c r="D3" s="35"/>
      <c r="E3" s="18"/>
    </row>
    <row r="4" spans="1:5" ht="15.75" thickBot="1" x14ac:dyDescent="0.3">
      <c r="A4" s="5"/>
      <c r="B4" s="35"/>
      <c r="C4" s="35"/>
      <c r="D4" s="35"/>
      <c r="E4" s="19" t="s">
        <v>32</v>
      </c>
    </row>
    <row r="5" spans="1:5" ht="31.5" customHeight="1" thickBot="1" x14ac:dyDescent="0.3">
      <c r="A5" s="6" t="s">
        <v>0</v>
      </c>
      <c r="B5" s="3" t="s">
        <v>10</v>
      </c>
      <c r="C5" s="3" t="s">
        <v>78</v>
      </c>
      <c r="D5" s="3" t="s">
        <v>30</v>
      </c>
      <c r="E5" s="4" t="s">
        <v>31</v>
      </c>
    </row>
    <row r="6" spans="1:5" s="11" customFormat="1" ht="21.75" customHeight="1" x14ac:dyDescent="0.25">
      <c r="A6" s="8">
        <v>1</v>
      </c>
      <c r="B6" s="9" t="s">
        <v>12</v>
      </c>
      <c r="C6" s="10">
        <f>723600+33000</f>
        <v>756600</v>
      </c>
      <c r="D6" s="10">
        <f>805200+33000</f>
        <v>838200</v>
      </c>
      <c r="E6" s="10">
        <f>886800+33000</f>
        <v>919800</v>
      </c>
    </row>
    <row r="7" spans="1:5" s="11" customFormat="1" ht="15.75" customHeight="1" x14ac:dyDescent="0.25">
      <c r="A7" s="8" t="s">
        <v>16</v>
      </c>
      <c r="B7" s="9" t="s">
        <v>13</v>
      </c>
      <c r="C7" s="2">
        <f>C8+C9+C10+C11</f>
        <v>225360</v>
      </c>
      <c r="D7" s="2">
        <f>D8+D9+D10+D11</f>
        <v>248120</v>
      </c>
      <c r="E7" s="2">
        <f t="shared" ref="E7" si="0">E8+E9+E10+E11</f>
        <v>270880</v>
      </c>
    </row>
    <row r="8" spans="1:5" s="15" customFormat="1" ht="15.75" customHeight="1" x14ac:dyDescent="0.25">
      <c r="A8" s="12" t="s">
        <v>20</v>
      </c>
      <c r="B8" s="13" t="s">
        <v>14</v>
      </c>
      <c r="C8" s="16">
        <f>43200+22800</f>
        <v>66000</v>
      </c>
      <c r="D8" s="16">
        <f>48000+25200</f>
        <v>73200</v>
      </c>
      <c r="E8" s="16">
        <f>52800+27600</f>
        <v>80400</v>
      </c>
    </row>
    <row r="9" spans="1:5" s="15" customFormat="1" ht="15.75" customHeight="1" x14ac:dyDescent="0.25">
      <c r="A9" s="12" t="s">
        <v>21</v>
      </c>
      <c r="B9" s="13" t="s">
        <v>15</v>
      </c>
      <c r="C9" s="16">
        <f>36000+1200+1920+9120</f>
        <v>48240</v>
      </c>
      <c r="D9" s="16">
        <f>36000+1200+1920+10640</f>
        <v>49760</v>
      </c>
      <c r="E9" s="16">
        <f>36000+1200+1920+12160</f>
        <v>51280</v>
      </c>
    </row>
    <row r="10" spans="1:5" s="15" customFormat="1" ht="15.75" customHeight="1" x14ac:dyDescent="0.25">
      <c r="A10" s="12" t="s">
        <v>22</v>
      </c>
      <c r="B10" s="13" t="s">
        <v>73</v>
      </c>
      <c r="C10" s="16">
        <v>84000</v>
      </c>
      <c r="D10" s="16">
        <v>94800</v>
      </c>
      <c r="E10" s="16">
        <f>105600</f>
        <v>105600</v>
      </c>
    </row>
    <row r="11" spans="1:5" s="15" customFormat="1" ht="15" customHeight="1" x14ac:dyDescent="0.25">
      <c r="A11" s="12" t="s">
        <v>23</v>
      </c>
      <c r="B11" s="13" t="s">
        <v>59</v>
      </c>
      <c r="C11" s="14">
        <v>27120</v>
      </c>
      <c r="D11" s="14">
        <v>30360</v>
      </c>
      <c r="E11" s="14">
        <v>33600</v>
      </c>
    </row>
    <row r="12" spans="1:5" s="11" customFormat="1" ht="21" customHeight="1" x14ac:dyDescent="0.25">
      <c r="A12" s="17" t="s">
        <v>27</v>
      </c>
      <c r="B12" s="1" t="s">
        <v>17</v>
      </c>
      <c r="C12" s="2">
        <f>C13+C14+C15</f>
        <v>330000</v>
      </c>
      <c r="D12" s="2">
        <f>D13+D14+D15</f>
        <v>411300</v>
      </c>
      <c r="E12" s="2">
        <f>E13+E14+E15</f>
        <v>447200</v>
      </c>
    </row>
    <row r="13" spans="1:5" s="15" customFormat="1" ht="14.25" customHeight="1" x14ac:dyDescent="0.25">
      <c r="A13" s="12" t="s">
        <v>70</v>
      </c>
      <c r="B13" s="13" t="s">
        <v>18</v>
      </c>
      <c r="C13" s="14">
        <f>70000+2800</f>
        <v>72800</v>
      </c>
      <c r="D13" s="14">
        <f>80000+3200</f>
        <v>83200</v>
      </c>
      <c r="E13" s="14">
        <f>90000+3600</f>
        <v>93600</v>
      </c>
    </row>
    <row r="14" spans="1:5" s="15" customFormat="1" ht="18" customHeight="1" x14ac:dyDescent="0.25">
      <c r="A14" s="12" t="s">
        <v>71</v>
      </c>
      <c r="B14" s="13" t="s">
        <v>19</v>
      </c>
      <c r="C14" s="14">
        <f>60300+60300</f>
        <v>120600</v>
      </c>
      <c r="D14" s="14">
        <f>(67100*2)+40700</f>
        <v>174900</v>
      </c>
      <c r="E14" s="14">
        <f>73900+3600+73900+32400</f>
        <v>183800</v>
      </c>
    </row>
    <row r="15" spans="1:5" s="15" customFormat="1" ht="13.5" customHeight="1" x14ac:dyDescent="0.25">
      <c r="A15" s="12" t="s">
        <v>72</v>
      </c>
      <c r="B15" s="13" t="s">
        <v>26</v>
      </c>
      <c r="C15" s="14">
        <f>60300+60300+16000</f>
        <v>136600</v>
      </c>
      <c r="D15" s="14">
        <f>67100+67100+19000</f>
        <v>153200</v>
      </c>
      <c r="E15" s="14">
        <f>73900*2+22000</f>
        <v>169800</v>
      </c>
    </row>
    <row r="16" spans="1:5" s="11" customFormat="1" ht="19.5" customHeight="1" x14ac:dyDescent="0.25">
      <c r="A16" s="17" t="s">
        <v>29</v>
      </c>
      <c r="B16" s="1" t="s">
        <v>74</v>
      </c>
      <c r="C16" s="2">
        <v>0</v>
      </c>
      <c r="D16" s="2">
        <v>100000</v>
      </c>
      <c r="E16" s="2">
        <v>100000</v>
      </c>
    </row>
    <row r="17" spans="1:5" s="11" customFormat="1" ht="20.25" customHeight="1" x14ac:dyDescent="0.25">
      <c r="A17" s="17" t="s">
        <v>57</v>
      </c>
      <c r="B17" s="1" t="s">
        <v>6</v>
      </c>
      <c r="C17" s="32">
        <f>C6+C7+C12+C16</f>
        <v>1311960</v>
      </c>
      <c r="D17" s="32">
        <f>D6+D7+D12+D16</f>
        <v>1597620</v>
      </c>
      <c r="E17" s="32">
        <f>E6+E7+E12+E16</f>
        <v>1737880</v>
      </c>
    </row>
  </sheetData>
  <mergeCells count="3">
    <mergeCell ref="B4:D4"/>
    <mergeCell ref="A1:E1"/>
    <mergeCell ref="B3:D3"/>
  </mergeCells>
  <phoneticPr fontId="4" type="noConversion"/>
  <pageMargins left="0.7" right="0.7" top="0.75" bottom="0.75" header="0.3" footer="0.3"/>
  <pageSetup paperSize="9" scale="12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FCDBC-785B-48C6-A10B-2CF794AF1774}">
  <dimension ref="A1:E21"/>
  <sheetViews>
    <sheetView view="pageBreakPreview" zoomScaleNormal="100" zoomScaleSheetLayoutView="100" workbookViewId="0">
      <selection sqref="A1:E19"/>
    </sheetView>
  </sheetViews>
  <sheetFormatPr defaultRowHeight="15" x14ac:dyDescent="0.25"/>
  <cols>
    <col min="1" max="1" width="5" style="7" customWidth="1"/>
    <col min="2" max="2" width="34.28515625" customWidth="1"/>
    <col min="3" max="5" width="23.140625" customWidth="1"/>
  </cols>
  <sheetData>
    <row r="1" spans="1:5" x14ac:dyDescent="0.25">
      <c r="A1" s="37" t="s">
        <v>69</v>
      </c>
      <c r="B1" s="37"/>
      <c r="C1" s="37"/>
      <c r="D1" s="37"/>
      <c r="E1" s="37"/>
    </row>
    <row r="3" spans="1:5" x14ac:dyDescent="0.25">
      <c r="A3" s="18"/>
      <c r="B3" s="35" t="s">
        <v>42</v>
      </c>
      <c r="C3" s="35"/>
      <c r="D3" s="35"/>
      <c r="E3" s="18"/>
    </row>
    <row r="4" spans="1:5" ht="15.75" thickBot="1" x14ac:dyDescent="0.3">
      <c r="A4" s="5"/>
      <c r="B4" s="35"/>
      <c r="C4" s="35"/>
      <c r="D4" s="35"/>
      <c r="E4" s="19" t="s">
        <v>32</v>
      </c>
    </row>
    <row r="5" spans="1:5" ht="31.5" customHeight="1" thickBot="1" x14ac:dyDescent="0.3">
      <c r="A5" s="6" t="s">
        <v>0</v>
      </c>
      <c r="B5" s="3" t="s">
        <v>10</v>
      </c>
      <c r="C5" s="3" t="s">
        <v>78</v>
      </c>
      <c r="D5" s="3" t="s">
        <v>30</v>
      </c>
      <c r="E5" s="4" t="s">
        <v>31</v>
      </c>
    </row>
    <row r="6" spans="1:5" s="11" customFormat="1" ht="21.75" customHeight="1" x14ac:dyDescent="0.25">
      <c r="A6" s="8">
        <v>1</v>
      </c>
      <c r="B6" s="9" t="s">
        <v>33</v>
      </c>
      <c r="C6" s="10">
        <f>C7+C8+C9</f>
        <v>196800</v>
      </c>
      <c r="D6" s="10">
        <f>D7+D8+D9</f>
        <v>209200</v>
      </c>
      <c r="E6" s="10">
        <f>E7+E8+E9</f>
        <v>215600</v>
      </c>
    </row>
    <row r="7" spans="1:5" s="15" customFormat="1" ht="15.75" customHeight="1" x14ac:dyDescent="0.25">
      <c r="A7" s="12" t="s">
        <v>2</v>
      </c>
      <c r="B7" s="13" t="s">
        <v>34</v>
      </c>
      <c r="C7" s="14">
        <f>182800*30%</f>
        <v>54840</v>
      </c>
      <c r="D7" s="14">
        <f>195200*30%</f>
        <v>58560</v>
      </c>
      <c r="E7" s="14">
        <f>201600*30%</f>
        <v>60480</v>
      </c>
    </row>
    <row r="8" spans="1:5" s="15" customFormat="1" ht="15.75" customHeight="1" x14ac:dyDescent="0.25">
      <c r="A8" s="12" t="s">
        <v>3</v>
      </c>
      <c r="B8" s="13" t="s">
        <v>35</v>
      </c>
      <c r="C8" s="16">
        <f>182800-C7</f>
        <v>127960</v>
      </c>
      <c r="D8" s="16">
        <f>195200-D7</f>
        <v>136640</v>
      </c>
      <c r="E8" s="16">
        <f>201600-E7</f>
        <v>141120</v>
      </c>
    </row>
    <row r="9" spans="1:5" s="15" customFormat="1" ht="15.75" customHeight="1" x14ac:dyDescent="0.25">
      <c r="A9" s="12" t="s">
        <v>3</v>
      </c>
      <c r="B9" s="13" t="s">
        <v>36</v>
      </c>
      <c r="C9" s="16">
        <v>14000</v>
      </c>
      <c r="D9" s="16">
        <v>14000</v>
      </c>
      <c r="E9" s="16">
        <v>14000</v>
      </c>
    </row>
    <row r="10" spans="1:5" s="11" customFormat="1" ht="15.75" customHeight="1" x14ac:dyDescent="0.25">
      <c r="A10" s="17" t="s">
        <v>16</v>
      </c>
      <c r="B10" s="1" t="s">
        <v>37</v>
      </c>
      <c r="C10" s="23">
        <f>C11+C12</f>
        <v>4600</v>
      </c>
      <c r="D10" s="23">
        <f>D11+D12</f>
        <v>5900</v>
      </c>
      <c r="E10" s="23">
        <f>E11+E12</f>
        <v>6700</v>
      </c>
    </row>
    <row r="11" spans="1:5" s="15" customFormat="1" ht="15" customHeight="1" x14ac:dyDescent="0.25">
      <c r="A11" s="12" t="s">
        <v>20</v>
      </c>
      <c r="B11" s="13" t="s">
        <v>38</v>
      </c>
      <c r="C11" s="14">
        <f>600+2000</f>
        <v>2600</v>
      </c>
      <c r="D11" s="14">
        <f>C11+300</f>
        <v>2900</v>
      </c>
      <c r="E11" s="14">
        <f>D11+300</f>
        <v>3200</v>
      </c>
    </row>
    <row r="12" spans="1:5" s="15" customFormat="1" ht="15" customHeight="1" x14ac:dyDescent="0.25">
      <c r="A12" s="12" t="s">
        <v>21</v>
      </c>
      <c r="B12" s="13" t="s">
        <v>60</v>
      </c>
      <c r="C12" s="34">
        <v>2000</v>
      </c>
      <c r="D12" s="14">
        <v>3000</v>
      </c>
      <c r="E12" s="14">
        <v>3500</v>
      </c>
    </row>
    <row r="13" spans="1:5" s="11" customFormat="1" ht="21" customHeight="1" x14ac:dyDescent="0.25">
      <c r="A13" s="17" t="s">
        <v>27</v>
      </c>
      <c r="B13" s="1" t="s">
        <v>61</v>
      </c>
      <c r="C13" s="2">
        <f>C14+C15+C16+C17</f>
        <v>40520</v>
      </c>
      <c r="D13" s="2">
        <f>D14+D15+D16+D17</f>
        <v>43305</v>
      </c>
      <c r="E13" s="2">
        <f>E14+E15+E16+E17</f>
        <v>44715</v>
      </c>
    </row>
    <row r="14" spans="1:5" s="15" customFormat="1" ht="14.25" customHeight="1" x14ac:dyDescent="0.25">
      <c r="A14" s="12" t="s">
        <v>70</v>
      </c>
      <c r="B14" s="13" t="s">
        <v>62</v>
      </c>
      <c r="C14" s="34">
        <f>1000+1000+1000</f>
        <v>3000</v>
      </c>
      <c r="D14" s="14">
        <v>3000</v>
      </c>
      <c r="E14" s="14">
        <v>3000</v>
      </c>
    </row>
    <row r="15" spans="1:5" s="15" customFormat="1" ht="16.5" customHeight="1" x14ac:dyDescent="0.25">
      <c r="A15" s="12" t="s">
        <v>71</v>
      </c>
      <c r="B15" s="13" t="s">
        <v>1</v>
      </c>
      <c r="C15" s="14">
        <f>18000+3000</f>
        <v>21000</v>
      </c>
      <c r="D15" s="14">
        <f>20000+3000</f>
        <v>23000</v>
      </c>
      <c r="E15" s="14">
        <f>21000+3000</f>
        <v>24000</v>
      </c>
    </row>
    <row r="16" spans="1:5" s="15" customFormat="1" ht="15.75" customHeight="1" x14ac:dyDescent="0.25">
      <c r="A16" s="12" t="s">
        <v>72</v>
      </c>
      <c r="B16" s="13" t="s">
        <v>39</v>
      </c>
      <c r="C16" s="14">
        <v>5000</v>
      </c>
      <c r="D16" s="14">
        <v>5000</v>
      </c>
      <c r="E16" s="14">
        <v>5000</v>
      </c>
    </row>
    <row r="17" spans="1:5" s="15" customFormat="1" ht="18" customHeight="1" x14ac:dyDescent="0.25">
      <c r="A17" s="12" t="s">
        <v>75</v>
      </c>
      <c r="B17" s="13" t="s">
        <v>40</v>
      </c>
      <c r="C17" s="14">
        <v>11520</v>
      </c>
      <c r="D17" s="14">
        <v>12305</v>
      </c>
      <c r="E17" s="14">
        <v>12715</v>
      </c>
    </row>
    <row r="18" spans="1:5" s="11" customFormat="1" ht="16.5" customHeight="1" x14ac:dyDescent="0.25">
      <c r="A18" s="17" t="s">
        <v>29</v>
      </c>
      <c r="B18" s="1" t="s">
        <v>41</v>
      </c>
      <c r="C18" s="2">
        <v>24000</v>
      </c>
      <c r="D18" s="2">
        <v>24000</v>
      </c>
      <c r="E18" s="2">
        <v>24000</v>
      </c>
    </row>
    <row r="19" spans="1:5" s="11" customFormat="1" ht="20.25" customHeight="1" x14ac:dyDescent="0.25">
      <c r="A19" s="17" t="s">
        <v>57</v>
      </c>
      <c r="B19" s="1" t="s">
        <v>6</v>
      </c>
      <c r="C19" s="2">
        <f>C6+C10+C13+C18</f>
        <v>265920</v>
      </c>
      <c r="D19" s="2">
        <f>D6+D10+D13+D18</f>
        <v>282405</v>
      </c>
      <c r="E19" s="2">
        <f>E6+E10+E13+E18</f>
        <v>291015</v>
      </c>
    </row>
    <row r="20" spans="1:5" x14ac:dyDescent="0.25">
      <c r="C20" s="33"/>
      <c r="E20" s="33"/>
    </row>
    <row r="21" spans="1:5" x14ac:dyDescent="0.25">
      <c r="C21" s="33"/>
      <c r="D21" s="33"/>
    </row>
  </sheetData>
  <mergeCells count="3">
    <mergeCell ref="A1:E1"/>
    <mergeCell ref="B4:D4"/>
    <mergeCell ref="B3:D3"/>
  </mergeCells>
  <pageMargins left="0.7" right="0.7" top="0.75" bottom="0.75" header="0.3" footer="0.3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A0F6C-1D3F-4121-A174-01C336BD42E0}">
  <dimension ref="A1:E11"/>
  <sheetViews>
    <sheetView view="pageBreakPreview" zoomScale="115" zoomScaleNormal="100" zoomScaleSheetLayoutView="115" workbookViewId="0">
      <selection sqref="A1:E11"/>
    </sheetView>
  </sheetViews>
  <sheetFormatPr defaultRowHeight="15" x14ac:dyDescent="0.25"/>
  <cols>
    <col min="1" max="1" width="5" style="7" customWidth="1"/>
    <col min="2" max="2" width="34.28515625" customWidth="1"/>
    <col min="3" max="5" width="23.140625" customWidth="1"/>
  </cols>
  <sheetData>
    <row r="1" spans="1:5" x14ac:dyDescent="0.25">
      <c r="A1" s="37" t="s">
        <v>69</v>
      </c>
      <c r="B1" s="37"/>
      <c r="C1" s="37"/>
      <c r="D1" s="37"/>
      <c r="E1" s="37"/>
    </row>
    <row r="3" spans="1:5" x14ac:dyDescent="0.25">
      <c r="A3" s="18"/>
      <c r="B3" s="35" t="s">
        <v>43</v>
      </c>
      <c r="C3" s="35"/>
      <c r="D3" s="35"/>
      <c r="E3" s="18"/>
    </row>
    <row r="4" spans="1:5" ht="15.75" thickBot="1" x14ac:dyDescent="0.3">
      <c r="A4" s="5"/>
      <c r="B4" s="35"/>
      <c r="C4" s="35"/>
      <c r="D4" s="35"/>
      <c r="E4" s="19" t="s">
        <v>32</v>
      </c>
    </row>
    <row r="5" spans="1:5" ht="31.5" customHeight="1" thickBot="1" x14ac:dyDescent="0.3">
      <c r="A5" s="6" t="s">
        <v>0</v>
      </c>
      <c r="B5" s="3" t="s">
        <v>10</v>
      </c>
      <c r="C5" s="3" t="s">
        <v>78</v>
      </c>
      <c r="D5" s="3" t="s">
        <v>30</v>
      </c>
      <c r="E5" s="4" t="s">
        <v>31</v>
      </c>
    </row>
    <row r="6" spans="1:5" s="11" customFormat="1" ht="21.75" customHeight="1" x14ac:dyDescent="0.25">
      <c r="A6" s="8">
        <v>1</v>
      </c>
      <c r="B6" s="9" t="s">
        <v>63</v>
      </c>
      <c r="C6" s="10">
        <f>C7+C8+C9</f>
        <v>75000</v>
      </c>
      <c r="D6" s="10">
        <f t="shared" ref="D6:E6" si="0">D7+D8+D9</f>
        <v>16500</v>
      </c>
      <c r="E6" s="10">
        <f t="shared" si="0"/>
        <v>16500</v>
      </c>
    </row>
    <row r="7" spans="1:5" s="15" customFormat="1" ht="15.75" customHeight="1" x14ac:dyDescent="0.25">
      <c r="A7" s="12" t="s">
        <v>2</v>
      </c>
      <c r="B7" s="13" t="s">
        <v>60</v>
      </c>
      <c r="C7" s="14">
        <v>0</v>
      </c>
      <c r="D7" s="14">
        <v>15000</v>
      </c>
      <c r="E7" s="14">
        <v>15000</v>
      </c>
    </row>
    <row r="8" spans="1:5" s="15" customFormat="1" ht="15.75" customHeight="1" x14ac:dyDescent="0.25">
      <c r="A8" s="12" t="s">
        <v>3</v>
      </c>
      <c r="B8" s="13" t="s">
        <v>38</v>
      </c>
      <c r="C8" s="16">
        <v>75000</v>
      </c>
      <c r="D8" s="16">
        <v>0</v>
      </c>
      <c r="E8" s="16">
        <v>0</v>
      </c>
    </row>
    <row r="9" spans="1:5" s="15" customFormat="1" ht="15.75" customHeight="1" x14ac:dyDescent="0.25">
      <c r="A9" s="12" t="s">
        <v>3</v>
      </c>
      <c r="B9" s="13" t="s">
        <v>44</v>
      </c>
      <c r="C9" s="16">
        <f>C7*10%</f>
        <v>0</v>
      </c>
      <c r="D9" s="16">
        <f>D7*10%</f>
        <v>1500</v>
      </c>
      <c r="E9" s="16">
        <f>E7*10%</f>
        <v>1500</v>
      </c>
    </row>
    <row r="10" spans="1:5" s="11" customFormat="1" ht="30.75" customHeight="1" x14ac:dyDescent="0.25">
      <c r="A10" s="17" t="s">
        <v>16</v>
      </c>
      <c r="B10" s="1" t="s">
        <v>64</v>
      </c>
      <c r="C10" s="23">
        <v>30000</v>
      </c>
      <c r="D10" s="23">
        <v>30000</v>
      </c>
      <c r="E10" s="23">
        <v>30000</v>
      </c>
    </row>
    <row r="11" spans="1:5" s="11" customFormat="1" ht="20.25" customHeight="1" x14ac:dyDescent="0.25">
      <c r="A11" s="17" t="s">
        <v>27</v>
      </c>
      <c r="B11" s="1" t="s">
        <v>6</v>
      </c>
      <c r="C11" s="2">
        <f>C6+C10</f>
        <v>105000</v>
      </c>
      <c r="D11" s="2">
        <f t="shared" ref="D11:E11" si="1">D6+D10</f>
        <v>46500</v>
      </c>
      <c r="E11" s="2">
        <f t="shared" si="1"/>
        <v>46500</v>
      </c>
    </row>
  </sheetData>
  <mergeCells count="3">
    <mergeCell ref="A1:E1"/>
    <mergeCell ref="B4:D4"/>
    <mergeCell ref="B3:D3"/>
  </mergeCells>
  <pageMargins left="0.7" right="0.7" top="0.75" bottom="0.75" header="0.3" footer="0.3"/>
  <pageSetup paperSize="9" scale="12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7D47F-F3D1-4213-A086-F62F7AA4FE34}">
  <dimension ref="A1:E21"/>
  <sheetViews>
    <sheetView view="pageBreakPreview" zoomScale="115" zoomScaleNormal="100" zoomScaleSheetLayoutView="115" workbookViewId="0">
      <selection sqref="A1:E18"/>
    </sheetView>
  </sheetViews>
  <sheetFormatPr defaultRowHeight="15" x14ac:dyDescent="0.25"/>
  <cols>
    <col min="1" max="1" width="5" style="7" customWidth="1"/>
    <col min="2" max="2" width="34.28515625" customWidth="1"/>
    <col min="3" max="5" width="23.140625" customWidth="1"/>
  </cols>
  <sheetData>
    <row r="1" spans="1:5" x14ac:dyDescent="0.25">
      <c r="A1" s="37" t="s">
        <v>69</v>
      </c>
      <c r="B1" s="37"/>
      <c r="C1" s="37"/>
      <c r="D1" s="37"/>
      <c r="E1" s="37"/>
    </row>
    <row r="3" spans="1:5" x14ac:dyDescent="0.25">
      <c r="A3" s="18"/>
      <c r="B3" s="35" t="s">
        <v>45</v>
      </c>
      <c r="C3" s="35"/>
      <c r="D3" s="35"/>
      <c r="E3" s="18"/>
    </row>
    <row r="4" spans="1:5" ht="15.75" thickBot="1" x14ac:dyDescent="0.3">
      <c r="A4" s="5"/>
      <c r="B4" s="35"/>
      <c r="C4" s="35"/>
      <c r="D4" s="35"/>
      <c r="E4" s="19" t="s">
        <v>32</v>
      </c>
    </row>
    <row r="5" spans="1:5" ht="31.5" customHeight="1" thickBot="1" x14ac:dyDescent="0.3">
      <c r="A5" s="6" t="s">
        <v>0</v>
      </c>
      <c r="B5" s="3" t="s">
        <v>10</v>
      </c>
      <c r="C5" s="3" t="s">
        <v>11</v>
      </c>
      <c r="D5" s="3" t="s">
        <v>30</v>
      </c>
      <c r="E5" s="4" t="s">
        <v>31</v>
      </c>
    </row>
    <row r="6" spans="1:5" s="11" customFormat="1" ht="37.5" customHeight="1" x14ac:dyDescent="0.25">
      <c r="A6" s="8">
        <v>1</v>
      </c>
      <c r="B6" s="9" t="s">
        <v>46</v>
      </c>
      <c r="C6" s="10">
        <f>C7+C8+C9</f>
        <v>78460</v>
      </c>
      <c r="D6" s="10">
        <f t="shared" ref="D6:E6" si="0">D7+D8+D9</f>
        <v>94152</v>
      </c>
      <c r="E6" s="10">
        <f t="shared" si="0"/>
        <v>112982.39999999999</v>
      </c>
    </row>
    <row r="7" spans="1:5" s="15" customFormat="1" ht="15.75" customHeight="1" x14ac:dyDescent="0.25">
      <c r="A7" s="12" t="s">
        <v>2</v>
      </c>
      <c r="B7" s="13" t="s">
        <v>47</v>
      </c>
      <c r="C7" s="14">
        <f>10800+43000+10800</f>
        <v>64600</v>
      </c>
      <c r="D7" s="14">
        <f>(C7*20%)+C7</f>
        <v>77520</v>
      </c>
      <c r="E7" s="14">
        <f>(D7*20%)+D7</f>
        <v>93024</v>
      </c>
    </row>
    <row r="8" spans="1:5" s="15" customFormat="1" ht="15.75" customHeight="1" x14ac:dyDescent="0.25">
      <c r="A8" s="12" t="s">
        <v>3</v>
      </c>
      <c r="B8" s="13" t="s">
        <v>48</v>
      </c>
      <c r="C8" s="16">
        <v>12000</v>
      </c>
      <c r="D8" s="14">
        <f>(C8*20%)+C8</f>
        <v>14400</v>
      </c>
      <c r="E8" s="14">
        <f t="shared" ref="E8:E17" si="1">(D8*20%)+D8</f>
        <v>17280</v>
      </c>
    </row>
    <row r="9" spans="1:5" s="15" customFormat="1" ht="15.75" customHeight="1" x14ac:dyDescent="0.25">
      <c r="A9" s="12" t="s">
        <v>4</v>
      </c>
      <c r="B9" s="13" t="s">
        <v>49</v>
      </c>
      <c r="C9" s="16">
        <v>1860</v>
      </c>
      <c r="D9" s="14">
        <f>(C9*20%)+C9</f>
        <v>2232</v>
      </c>
      <c r="E9" s="14">
        <f t="shared" si="1"/>
        <v>2678.4</v>
      </c>
    </row>
    <row r="10" spans="1:5" s="11" customFormat="1" ht="21" customHeight="1" x14ac:dyDescent="0.25">
      <c r="A10" s="17" t="s">
        <v>16</v>
      </c>
      <c r="B10" s="1" t="s">
        <v>50</v>
      </c>
      <c r="C10" s="2">
        <f>C11+C12+C13+C14+C15+C16</f>
        <v>222240</v>
      </c>
      <c r="D10" s="2">
        <f t="shared" ref="D10:E10" si="2">D11+D12+D13+D14+D15+D16</f>
        <v>266688</v>
      </c>
      <c r="E10" s="2">
        <f t="shared" si="2"/>
        <v>320025.59999999998</v>
      </c>
    </row>
    <row r="11" spans="1:5" s="15" customFormat="1" ht="14.25" customHeight="1" x14ac:dyDescent="0.25">
      <c r="A11" s="12" t="s">
        <v>20</v>
      </c>
      <c r="B11" s="13" t="s">
        <v>65</v>
      </c>
      <c r="C11" s="14">
        <f>21600+4320+4210+4421+7400</f>
        <v>41951</v>
      </c>
      <c r="D11" s="14">
        <f t="shared" ref="D11:D17" si="3">(C11*20%)+C11</f>
        <v>50341.2</v>
      </c>
      <c r="E11" s="14">
        <f t="shared" si="1"/>
        <v>60409.439999999995</v>
      </c>
    </row>
    <row r="12" spans="1:5" s="15" customFormat="1" ht="16.5" customHeight="1" x14ac:dyDescent="0.25">
      <c r="A12" s="12" t="s">
        <v>21</v>
      </c>
      <c r="B12" s="13" t="s">
        <v>51</v>
      </c>
      <c r="C12" s="14">
        <f>4421+6315</f>
        <v>10736</v>
      </c>
      <c r="D12" s="14">
        <f t="shared" si="3"/>
        <v>12883.2</v>
      </c>
      <c r="E12" s="14">
        <f t="shared" si="1"/>
        <v>15459.84</v>
      </c>
    </row>
    <row r="13" spans="1:5" s="15" customFormat="1" ht="15.75" customHeight="1" x14ac:dyDescent="0.25">
      <c r="A13" s="12" t="s">
        <v>22</v>
      </c>
      <c r="B13" s="13" t="s">
        <v>49</v>
      </c>
      <c r="C13" s="14">
        <v>3400</v>
      </c>
      <c r="D13" s="14">
        <f t="shared" si="3"/>
        <v>4080</v>
      </c>
      <c r="E13" s="14">
        <f t="shared" si="1"/>
        <v>4896</v>
      </c>
    </row>
    <row r="14" spans="1:5" s="15" customFormat="1" ht="18" customHeight="1" x14ac:dyDescent="0.25">
      <c r="A14" s="12" t="s">
        <v>23</v>
      </c>
      <c r="B14" s="13" t="s">
        <v>52</v>
      </c>
      <c r="C14" s="14">
        <f>4000+20000</f>
        <v>24000</v>
      </c>
      <c r="D14" s="14">
        <f t="shared" si="3"/>
        <v>28800</v>
      </c>
      <c r="E14" s="14">
        <f t="shared" si="1"/>
        <v>34560</v>
      </c>
    </row>
    <row r="15" spans="1:5" s="15" customFormat="1" ht="16.5" customHeight="1" x14ac:dyDescent="0.25">
      <c r="A15" s="12" t="s">
        <v>24</v>
      </c>
      <c r="B15" s="13" t="s">
        <v>53</v>
      </c>
      <c r="C15" s="14">
        <f>143453*35%</f>
        <v>50208.549999999996</v>
      </c>
      <c r="D15" s="14">
        <f t="shared" si="3"/>
        <v>60250.259999999995</v>
      </c>
      <c r="E15" s="14">
        <f t="shared" si="1"/>
        <v>72300.311999999991</v>
      </c>
    </row>
    <row r="16" spans="1:5" s="15" customFormat="1" ht="13.5" customHeight="1" x14ac:dyDescent="0.25">
      <c r="A16" s="12" t="s">
        <v>25</v>
      </c>
      <c r="B16" s="13" t="s">
        <v>66</v>
      </c>
      <c r="C16" s="14">
        <f>141453*65%</f>
        <v>91944.45</v>
      </c>
      <c r="D16" s="14">
        <f t="shared" si="3"/>
        <v>110333.34</v>
      </c>
      <c r="E16" s="14">
        <f t="shared" si="1"/>
        <v>132400.008</v>
      </c>
    </row>
    <row r="17" spans="1:5" s="11" customFormat="1" ht="19.5" customHeight="1" x14ac:dyDescent="0.25">
      <c r="A17" s="17" t="s">
        <v>27</v>
      </c>
      <c r="B17" s="1" t="s">
        <v>54</v>
      </c>
      <c r="C17" s="2"/>
      <c r="D17" s="14">
        <f t="shared" si="3"/>
        <v>0</v>
      </c>
      <c r="E17" s="14">
        <f t="shared" si="1"/>
        <v>0</v>
      </c>
    </row>
    <row r="18" spans="1:5" s="11" customFormat="1" ht="20.25" customHeight="1" x14ac:dyDescent="0.25">
      <c r="A18" s="17" t="s">
        <v>29</v>
      </c>
      <c r="B18" s="1" t="s">
        <v>6</v>
      </c>
      <c r="C18" s="2">
        <f>C6+C10</f>
        <v>300700</v>
      </c>
      <c r="D18" s="2">
        <f t="shared" ref="D18" si="4">D6+D10</f>
        <v>360840</v>
      </c>
      <c r="E18" s="2">
        <f t="shared" ref="E18" si="5">E6+E10</f>
        <v>433008</v>
      </c>
    </row>
    <row r="21" spans="1:5" x14ac:dyDescent="0.25">
      <c r="C21" s="33"/>
    </row>
  </sheetData>
  <mergeCells count="3">
    <mergeCell ref="A1:E1"/>
    <mergeCell ref="B4:D4"/>
    <mergeCell ref="B3:D3"/>
  </mergeCells>
  <pageMargins left="0.7" right="0.7" top="0.75" bottom="0.75" header="0.3" footer="0.3"/>
  <pageSetup paperSize="9" scale="1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64C8D-E3C4-41E2-A8BA-6B8E795FA5D9}">
  <dimension ref="A1:E13"/>
  <sheetViews>
    <sheetView tabSelected="1"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5" style="7" customWidth="1"/>
    <col min="2" max="2" width="38" customWidth="1"/>
    <col min="3" max="3" width="24" customWidth="1"/>
    <col min="4" max="5" width="20.85546875" customWidth="1"/>
  </cols>
  <sheetData>
    <row r="1" spans="1:5" x14ac:dyDescent="0.25">
      <c r="A1" s="37" t="s">
        <v>69</v>
      </c>
      <c r="B1" s="37"/>
      <c r="C1" s="37"/>
      <c r="D1" s="37"/>
      <c r="E1" s="37"/>
    </row>
    <row r="3" spans="1:5" x14ac:dyDescent="0.25">
      <c r="A3" s="18"/>
      <c r="B3" s="35" t="s">
        <v>55</v>
      </c>
      <c r="C3" s="35"/>
      <c r="D3" s="35"/>
      <c r="E3" s="18"/>
    </row>
    <row r="4" spans="1:5" ht="15.75" thickBot="1" x14ac:dyDescent="0.3">
      <c r="A4" s="5"/>
      <c r="B4" s="35"/>
      <c r="C4" s="35"/>
      <c r="D4" s="35"/>
      <c r="E4" s="19" t="s">
        <v>32</v>
      </c>
    </row>
    <row r="5" spans="1:5" ht="31.5" customHeight="1" thickBot="1" x14ac:dyDescent="0.3">
      <c r="A5" s="6" t="s">
        <v>0</v>
      </c>
      <c r="B5" s="3" t="s">
        <v>10</v>
      </c>
      <c r="C5" s="3" t="s">
        <v>78</v>
      </c>
      <c r="D5" s="3" t="s">
        <v>30</v>
      </c>
      <c r="E5" s="4" t="s">
        <v>31</v>
      </c>
    </row>
    <row r="6" spans="1:5" s="11" customFormat="1" ht="16.5" customHeight="1" x14ac:dyDescent="0.25">
      <c r="A6" s="8">
        <v>1</v>
      </c>
      <c r="B6" s="9" t="s">
        <v>56</v>
      </c>
      <c r="C6" s="10">
        <f>C7+C8+C9+C10+C11</f>
        <v>500000</v>
      </c>
      <c r="D6" s="10">
        <f t="shared" ref="D6:E6" si="0">D7+D8+D9+D10+D11</f>
        <v>1000000</v>
      </c>
      <c r="E6" s="10">
        <f t="shared" si="0"/>
        <v>1000000</v>
      </c>
    </row>
    <row r="7" spans="1:5" s="15" customFormat="1" ht="15.75" customHeight="1" x14ac:dyDescent="0.25">
      <c r="A7" s="12" t="s">
        <v>2</v>
      </c>
      <c r="B7" s="13" t="s">
        <v>7</v>
      </c>
      <c r="C7" s="14">
        <v>500000</v>
      </c>
      <c r="D7" s="10">
        <v>0</v>
      </c>
      <c r="E7" s="10">
        <v>0</v>
      </c>
    </row>
    <row r="8" spans="1:5" s="15" customFormat="1" ht="15.75" customHeight="1" x14ac:dyDescent="0.25">
      <c r="A8" s="12" t="s">
        <v>3</v>
      </c>
      <c r="B8" s="25" t="s">
        <v>67</v>
      </c>
      <c r="C8" s="16">
        <v>0</v>
      </c>
      <c r="D8" s="28">
        <v>500000</v>
      </c>
      <c r="E8" s="10">
        <v>0</v>
      </c>
    </row>
    <row r="9" spans="1:5" s="15" customFormat="1" ht="15.75" customHeight="1" x14ac:dyDescent="0.25">
      <c r="A9" s="12" t="s">
        <v>4</v>
      </c>
      <c r="B9" s="25" t="s">
        <v>76</v>
      </c>
      <c r="C9" s="16">
        <v>0</v>
      </c>
      <c r="D9" s="28">
        <v>500000</v>
      </c>
      <c r="E9" s="10">
        <v>0</v>
      </c>
    </row>
    <row r="10" spans="1:5" s="15" customFormat="1" ht="15.75" customHeight="1" x14ac:dyDescent="0.25">
      <c r="A10" s="12" t="s">
        <v>5</v>
      </c>
      <c r="B10" s="13" t="s">
        <v>77</v>
      </c>
      <c r="C10" s="16">
        <v>0</v>
      </c>
      <c r="D10" s="10"/>
      <c r="E10" s="28">
        <v>500000</v>
      </c>
    </row>
    <row r="11" spans="1:5" s="15" customFormat="1" ht="16.5" customHeight="1" x14ac:dyDescent="0.25">
      <c r="A11" s="17" t="s">
        <v>29</v>
      </c>
      <c r="B11" s="1" t="s">
        <v>9</v>
      </c>
      <c r="C11" s="14">
        <v>0</v>
      </c>
      <c r="D11" s="10">
        <v>0</v>
      </c>
      <c r="E11" s="28">
        <v>500000</v>
      </c>
    </row>
    <row r="12" spans="1:5" s="27" customFormat="1" ht="17.25" customHeight="1" x14ac:dyDescent="0.25">
      <c r="A12" s="17" t="s">
        <v>57</v>
      </c>
      <c r="B12" s="1" t="s">
        <v>8</v>
      </c>
      <c r="C12" s="26">
        <v>500000</v>
      </c>
      <c r="D12" s="10">
        <v>0</v>
      </c>
      <c r="E12" s="10">
        <v>0</v>
      </c>
    </row>
    <row r="13" spans="1:5" s="11" customFormat="1" ht="20.25" customHeight="1" x14ac:dyDescent="0.25">
      <c r="A13" s="17" t="s">
        <v>58</v>
      </c>
      <c r="B13" s="1" t="s">
        <v>6</v>
      </c>
      <c r="C13" s="2">
        <f>C6+C12</f>
        <v>1000000</v>
      </c>
      <c r="D13" s="10">
        <f t="shared" ref="D13:E13" si="1">D6+D12</f>
        <v>1000000</v>
      </c>
      <c r="E13" s="10">
        <f t="shared" si="1"/>
        <v>1000000</v>
      </c>
    </row>
  </sheetData>
  <mergeCells count="3">
    <mergeCell ref="A1:E1"/>
    <mergeCell ref="B4:D4"/>
    <mergeCell ref="B3:D3"/>
  </mergeCells>
  <phoneticPr fontId="4" type="noConversion"/>
  <pageMargins left="0.7" right="0.7" top="0.75" bottom="0.75" header="0.3" footer="0.3"/>
  <pageSetup paperSize="9" scale="1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BUDGET 2020-2022 </vt:lpstr>
      <vt:lpstr>personnel emoluments</vt:lpstr>
      <vt:lpstr>recurrent exendition</vt:lpstr>
      <vt:lpstr>acquisition</vt:lpstr>
      <vt:lpstr>conferences and meetings</vt:lpstr>
      <vt:lpstr>programme and activities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2019-08-13T11:41:39Z</dcterms:modified>
</cp:coreProperties>
</file>